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E38195FD-B901-44B7-B15F-5AF54E579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get Wealth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5" l="1"/>
  <c r="H24" i="5"/>
  <c r="H23" i="5"/>
  <c r="H21" i="5"/>
  <c r="H22" i="5"/>
  <c r="H20" i="5"/>
  <c r="H19" i="5"/>
  <c r="H18" i="5"/>
  <c r="C18" i="5"/>
  <c r="C19" i="5" s="1"/>
  <c r="C20" i="5" s="1"/>
  <c r="C21" i="5" s="1"/>
  <c r="C22" i="5" s="1"/>
  <c r="C23" i="5" s="1"/>
  <c r="C24" i="5" s="1"/>
  <c r="C25" i="5" s="1"/>
  <c r="D18" i="5" l="1"/>
  <c r="F18" i="5" s="1"/>
  <c r="E18" i="5" l="1"/>
  <c r="G18" i="5" l="1"/>
  <c r="I18" i="5" s="1"/>
  <c r="D19" i="5"/>
  <c r="F19" i="5" s="1"/>
  <c r="E19" i="5"/>
  <c r="G19" i="5" s="1"/>
  <c r="I19" i="5" s="1"/>
  <c r="E20" i="5" l="1"/>
  <c r="G20" i="5" s="1"/>
  <c r="I20" i="5" s="1"/>
  <c r="D20" i="5"/>
  <c r="F20" i="5" s="1"/>
  <c r="E21" i="5" l="1"/>
  <c r="G21" i="5" s="1"/>
  <c r="I21" i="5" s="1"/>
  <c r="D21" i="5"/>
  <c r="F21" i="5" s="1"/>
  <c r="E22" i="5" l="1"/>
  <c r="G22" i="5" s="1"/>
  <c r="I22" i="5" s="1"/>
  <c r="D22" i="5"/>
  <c r="F22" i="5" s="1"/>
  <c r="D23" i="5" l="1"/>
  <c r="F23" i="5" s="1"/>
  <c r="E23" i="5"/>
  <c r="G23" i="5" s="1"/>
  <c r="I23" i="5" s="1"/>
  <c r="E24" i="5" l="1"/>
  <c r="G24" i="5" s="1"/>
  <c r="I24" i="5" s="1"/>
  <c r="D24" i="5"/>
  <c r="F24" i="5" s="1"/>
  <c r="E25" i="5" l="1"/>
  <c r="G25" i="5" s="1"/>
  <c r="I25" i="5" s="1"/>
  <c r="D25" i="5"/>
  <c r="F25" i="5" s="1"/>
</calcChain>
</file>

<file path=xl/sharedStrings.xml><?xml version="1.0" encoding="utf-8"?>
<sst xmlns="http://schemas.openxmlformats.org/spreadsheetml/2006/main" count="27" uniqueCount="26">
  <si>
    <t>INPUTS</t>
  </si>
  <si>
    <t>OUTPUTS</t>
  </si>
  <si>
    <t>Current Portfolio Value:</t>
  </si>
  <si>
    <t>Expected Rate of Return:</t>
  </si>
  <si>
    <t>Portfolio Value</t>
  </si>
  <si>
    <t>5 Years:</t>
  </si>
  <si>
    <t>10 Years:</t>
  </si>
  <si>
    <t>15 Years:</t>
  </si>
  <si>
    <t>20 Years:</t>
  </si>
  <si>
    <t>30 Years:</t>
  </si>
  <si>
    <t>40 Years:</t>
  </si>
  <si>
    <t>Time</t>
  </si>
  <si>
    <t>Portfolio Value (Infl Adj)</t>
  </si>
  <si>
    <t>Portfolio Income</t>
  </si>
  <si>
    <t>Portfolio Income (Infl Adj)</t>
  </si>
  <si>
    <t>25 Years:</t>
  </si>
  <si>
    <t>35 Years:</t>
  </si>
  <si>
    <t>Financial Freedom Calculator</t>
  </si>
  <si>
    <t>After-Tax Portfolio Income (Infl Adj)</t>
  </si>
  <si>
    <t>Inflation Rate:</t>
  </si>
  <si>
    <t>Withdraw Tax Rate:</t>
  </si>
  <si>
    <t>New Money Added Per Year:</t>
  </si>
  <si>
    <t>by T Cube Group A.D.</t>
  </si>
  <si>
    <t>Freedom</t>
  </si>
  <si>
    <t>Outgoings on period</t>
  </si>
  <si>
    <t>Annual Withdraw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</si>
</sst>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0.0%"/>
    <numFmt numFmtId="168" formatCode="[$$-409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0" fontId="4" fillId="4" borderId="3" xfId="0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5" borderId="9" xfId="0" applyFont="1" applyFill="1" applyBorder="1" applyAlignment="1">
      <alignment horizontal="center"/>
    </xf>
    <xf numFmtId="0" fontId="0" fillId="5" borderId="4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4" fillId="3" borderId="1" xfId="1" applyNumberFormat="1" applyFont="1" applyFill="1" applyBorder="1" applyAlignment="1" applyProtection="1">
      <alignment horizontal="center"/>
      <protection locked="0"/>
    </xf>
    <xf numFmtId="166" fontId="4" fillId="3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9" fontId="4" fillId="0" borderId="1" xfId="2" applyFont="1" applyBorder="1" applyAlignment="1" applyProtection="1">
      <alignment horizontal="center"/>
      <protection locked="0"/>
    </xf>
  </cellXfs>
  <cellStyles count="4">
    <cellStyle name="Collegamento ipertestuale" xfId="3" builtinId="8"/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1095375</xdr:colOff>
      <xdr:row>0</xdr:row>
      <xdr:rowOff>116205</xdr:rowOff>
    </xdr:from>
    <xdr:ext cx="8496299" cy="25679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24C362-CD1F-47E9-8ACE-66CFA1561778}"/>
            </a:ext>
          </a:extLst>
        </xdr:cNvPr>
        <xdr:cNvSpPr txBox="1"/>
      </xdr:nvSpPr>
      <xdr:spPr>
        <a:xfrm>
          <a:off x="5210175" y="116205"/>
          <a:ext cx="8496299" cy="2567940"/>
        </a:xfrm>
        <a:prstGeom prst="round2Diag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 u="sng"/>
            <a:t>Overview:</a:t>
          </a:r>
        </a:p>
        <a:p>
          <a:r>
            <a:rPr lang="en-US" sz="1200"/>
            <a:t>This spreadsheet helps you calculate what combination of annual</a:t>
          </a:r>
          <a:r>
            <a:rPr lang="en-US" sz="1200" baseline="0"/>
            <a:t> savings and long-term rate of return you need to achieve your target investment income within your target period of time. </a:t>
          </a:r>
        </a:p>
        <a:p>
          <a:endParaRPr lang="en-US" sz="1200" baseline="0"/>
        </a:p>
        <a:p>
          <a:r>
            <a:rPr lang="en-US" sz="1400" b="1" u="sng" baseline="0"/>
            <a:t>Useful Info:</a:t>
          </a:r>
        </a:p>
        <a:p>
          <a:r>
            <a:rPr lang="en-US" sz="1200" b="0" u="none" baseline="0"/>
            <a:t>-The maximum recommended withdraw rate in retirement is 4% per year to avoid running out of money.  </a:t>
          </a:r>
        </a:p>
        <a:p>
          <a:r>
            <a:rPr lang="en-US" sz="1200" b="0" u="none" baseline="0"/>
            <a:t>-We have as a benchmark an inflation rate of 2% per year. </a:t>
          </a:r>
        </a:p>
        <a:p>
          <a:r>
            <a:rPr lang="en-US" sz="1200" b="0" u="none" baseline="0"/>
            <a:t>-Traditional Capital withdrawals are taxed at your ordinary income tax rate. </a:t>
          </a:r>
        </a:p>
        <a:p>
          <a:r>
            <a:rPr lang="en-US" sz="1200" b="0" u="none" baseline="0"/>
            <a:t>-Crypto-withdrawals are tax-free.</a:t>
          </a:r>
        </a:p>
        <a:p>
          <a:r>
            <a:rPr lang="en-US" sz="1200" b="0" u="none" baseline="0"/>
            <a:t>-In taxable accounts, qualified dividends and long-term capital gains are taxed at 10% for most people. </a:t>
          </a:r>
        </a:p>
        <a:p>
          <a:r>
            <a:rPr lang="en-US" sz="1200" b="1" u="sng" baseline="0"/>
            <a:t>-When your After-Tax Portfolio Income (Infl Adj) exceeds your current or planned annual expenses, you're free. </a:t>
          </a:r>
        </a:p>
      </xdr:txBody>
    </xdr:sp>
    <xdr:clientData/>
  </xdr:oneCellAnchor>
  <xdr:twoCellAnchor editAs="oneCell">
    <xdr:from>
      <xdr:col>0</xdr:col>
      <xdr:colOff>561975</xdr:colOff>
      <xdr:row>1</xdr:row>
      <xdr:rowOff>38100</xdr:rowOff>
    </xdr:from>
    <xdr:to>
      <xdr:col>1</xdr:col>
      <xdr:colOff>800100</xdr:colOff>
      <xdr:row>5</xdr:row>
      <xdr:rowOff>95250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B0DB396-15A6-1149-C236-FF8F4F6A6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19075"/>
          <a:ext cx="8477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workbookViewId="0">
      <selection activeCell="B8" sqref="B8"/>
    </sheetView>
  </sheetViews>
  <sheetFormatPr defaultRowHeight="15" x14ac:dyDescent="0.25"/>
  <cols>
    <col min="2" max="2" width="33" bestFit="1" customWidth="1"/>
    <col min="3" max="3" width="19.5703125" bestFit="1" customWidth="1"/>
    <col min="4" max="4" width="25.140625" bestFit="1" customWidth="1"/>
    <col min="5" max="5" width="19.5703125" bestFit="1" customWidth="1"/>
    <col min="6" max="6" width="27" bestFit="1" customWidth="1"/>
    <col min="7" max="7" width="36.85546875" bestFit="1" customWidth="1"/>
    <col min="8" max="8" width="21.5703125" bestFit="1" customWidth="1"/>
    <col min="9" max="9" width="13.5703125" customWidth="1"/>
    <col min="10" max="10" width="23.42578125" customWidth="1"/>
    <col min="11" max="11" width="26.140625" customWidth="1"/>
  </cols>
  <sheetData>
    <row r="1" spans="1:13" ht="14.45" customHeight="1" x14ac:dyDescent="0.25">
      <c r="B1" s="24" t="s">
        <v>17</v>
      </c>
      <c r="C1" s="24"/>
      <c r="D1" s="24"/>
    </row>
    <row r="2" spans="1:13" ht="15.6" customHeight="1" x14ac:dyDescent="0.25">
      <c r="B2" s="24"/>
      <c r="C2" s="24"/>
      <c r="D2" s="24"/>
      <c r="E2" s="17"/>
      <c r="F2" s="17"/>
      <c r="G2" s="17"/>
      <c r="H2" s="17"/>
      <c r="I2" s="16"/>
    </row>
    <row r="3" spans="1:13" ht="15.75" customHeight="1" x14ac:dyDescent="0.25">
      <c r="A3" s="1"/>
      <c r="B3" s="24"/>
      <c r="C3" s="24"/>
      <c r="D3" s="24"/>
      <c r="E3" s="17"/>
      <c r="F3" s="17"/>
      <c r="G3" s="17"/>
      <c r="H3" s="17"/>
      <c r="I3" s="16"/>
      <c r="M3" s="1"/>
    </row>
    <row r="4" spans="1:13" ht="15.75" customHeight="1" x14ac:dyDescent="0.25">
      <c r="A4" s="1"/>
      <c r="B4" s="25" t="s">
        <v>22</v>
      </c>
      <c r="C4" s="25"/>
      <c r="D4" s="25"/>
      <c r="E4" s="17"/>
      <c r="F4" s="17"/>
      <c r="G4" s="17"/>
      <c r="H4" s="17"/>
      <c r="I4" s="16"/>
      <c r="M4" s="1"/>
    </row>
    <row r="5" spans="1:13" ht="15.75" customHeight="1" x14ac:dyDescent="0.25">
      <c r="A5" s="1"/>
      <c r="B5" s="25"/>
      <c r="C5" s="25"/>
      <c r="D5" s="25"/>
      <c r="E5" s="17"/>
      <c r="F5" s="17"/>
      <c r="G5" s="17"/>
      <c r="H5" s="17"/>
      <c r="I5" s="16"/>
      <c r="M5" s="1"/>
    </row>
    <row r="6" spans="1:13" ht="16.5" thickBot="1" x14ac:dyDescent="0.3">
      <c r="A6" s="1"/>
      <c r="B6" s="2"/>
      <c r="C6" s="2"/>
      <c r="D6" s="1"/>
      <c r="E6" s="17"/>
      <c r="F6" s="17"/>
      <c r="G6" s="17"/>
      <c r="H6" s="17"/>
      <c r="I6" s="16"/>
      <c r="L6" s="1"/>
      <c r="M6" s="1"/>
    </row>
    <row r="7" spans="1:13" ht="16.5" thickBot="1" x14ac:dyDescent="0.3">
      <c r="A7" s="1"/>
      <c r="B7" s="22" t="s">
        <v>0</v>
      </c>
      <c r="C7" s="9"/>
      <c r="D7" s="2"/>
      <c r="E7" s="17"/>
      <c r="F7" s="17"/>
      <c r="G7" s="17"/>
      <c r="H7" s="17"/>
      <c r="I7" s="16"/>
      <c r="L7" s="2"/>
      <c r="M7" s="1"/>
    </row>
    <row r="8" spans="1:13" ht="16.5" thickBot="1" x14ac:dyDescent="0.3">
      <c r="A8" s="1"/>
      <c r="B8" s="8" t="s">
        <v>2</v>
      </c>
      <c r="C8" s="26">
        <v>50000</v>
      </c>
      <c r="D8" s="3"/>
      <c r="E8" s="17"/>
      <c r="F8" s="17"/>
      <c r="G8" s="17"/>
      <c r="H8" s="17"/>
      <c r="I8" s="16"/>
      <c r="L8" s="1"/>
      <c r="M8" s="1"/>
    </row>
    <row r="9" spans="1:13" ht="16.5" thickBot="1" x14ac:dyDescent="0.3">
      <c r="A9" s="1"/>
      <c r="B9" s="8" t="s">
        <v>3</v>
      </c>
      <c r="C9" s="27">
        <v>0.4</v>
      </c>
      <c r="D9" s="3"/>
      <c r="E9" s="17"/>
      <c r="F9" s="17"/>
      <c r="G9" s="17"/>
      <c r="H9" s="17"/>
      <c r="I9" s="16"/>
      <c r="L9" s="2"/>
      <c r="M9" s="1"/>
    </row>
    <row r="10" spans="1:13" ht="16.5" thickBot="1" x14ac:dyDescent="0.3">
      <c r="A10" s="1"/>
      <c r="B10" s="8" t="s">
        <v>21</v>
      </c>
      <c r="C10" s="28">
        <v>25000</v>
      </c>
      <c r="D10" s="3"/>
      <c r="E10" s="17"/>
      <c r="F10" s="17"/>
      <c r="G10" s="17"/>
      <c r="H10" s="17"/>
      <c r="I10" s="16"/>
      <c r="L10" s="2"/>
      <c r="M10" s="1"/>
    </row>
    <row r="11" spans="1:13" ht="16.5" thickBot="1" x14ac:dyDescent="0.3">
      <c r="A11" s="1"/>
      <c r="B11" s="8" t="s">
        <v>25</v>
      </c>
      <c r="C11" s="27">
        <v>0.5</v>
      </c>
      <c r="D11" s="3"/>
      <c r="E11" s="17"/>
      <c r="F11" s="17"/>
      <c r="G11" s="17"/>
      <c r="H11" s="17"/>
      <c r="I11" s="16"/>
      <c r="L11" s="1"/>
      <c r="M11" s="1"/>
    </row>
    <row r="12" spans="1:13" ht="16.5" thickBot="1" x14ac:dyDescent="0.3">
      <c r="A12" s="1"/>
      <c r="B12" s="8" t="s">
        <v>19</v>
      </c>
      <c r="C12" s="27">
        <v>0.02</v>
      </c>
      <c r="D12" s="3"/>
      <c r="E12" s="17"/>
      <c r="F12" s="17"/>
      <c r="G12" s="17"/>
      <c r="H12" s="17"/>
      <c r="I12" s="16"/>
      <c r="L12" s="1"/>
      <c r="M12" s="1"/>
    </row>
    <row r="13" spans="1:13" ht="16.5" thickBot="1" x14ac:dyDescent="0.3">
      <c r="A13" s="1"/>
      <c r="B13" s="8" t="s">
        <v>24</v>
      </c>
      <c r="C13" s="29">
        <v>30000</v>
      </c>
      <c r="D13" s="3"/>
      <c r="E13" s="17"/>
      <c r="F13" s="17"/>
      <c r="G13" s="17"/>
      <c r="H13" s="17"/>
      <c r="I13" s="16"/>
      <c r="L13" s="1"/>
      <c r="M13" s="1"/>
    </row>
    <row r="14" spans="1:13" ht="16.5" thickBot="1" x14ac:dyDescent="0.3">
      <c r="A14" s="1"/>
      <c r="B14" s="7" t="s">
        <v>20</v>
      </c>
      <c r="C14" s="30">
        <v>0.1</v>
      </c>
      <c r="D14" s="2"/>
      <c r="E14" s="2"/>
      <c r="F14" s="2"/>
      <c r="G14" s="2"/>
      <c r="H14" s="2"/>
      <c r="L14" s="1"/>
      <c r="M14" s="1"/>
    </row>
    <row r="15" spans="1:13" ht="16.5" thickBot="1" x14ac:dyDescent="0.3">
      <c r="A15" s="1"/>
      <c r="L15" s="1"/>
      <c r="M15" s="1"/>
    </row>
    <row r="16" spans="1:13" ht="15.75" x14ac:dyDescent="0.25">
      <c r="A16" s="1"/>
      <c r="B16" s="18" t="s">
        <v>1</v>
      </c>
      <c r="C16" s="10"/>
      <c r="D16" s="10"/>
      <c r="E16" s="10"/>
      <c r="F16" s="10"/>
      <c r="G16" s="10"/>
      <c r="H16" s="10"/>
      <c r="I16" s="19"/>
      <c r="L16" s="2"/>
      <c r="M16" s="1"/>
    </row>
    <row r="17" spans="1:13" ht="15.75" x14ac:dyDescent="0.25">
      <c r="A17" s="1"/>
      <c r="B17" s="20" t="s">
        <v>11</v>
      </c>
      <c r="C17" s="4" t="s">
        <v>4</v>
      </c>
      <c r="D17" s="4" t="s">
        <v>12</v>
      </c>
      <c r="E17" s="4" t="s">
        <v>13</v>
      </c>
      <c r="F17" s="4" t="s">
        <v>14</v>
      </c>
      <c r="G17" s="21" t="s">
        <v>18</v>
      </c>
      <c r="H17" s="21" t="s">
        <v>24</v>
      </c>
      <c r="I17" s="21" t="s">
        <v>23</v>
      </c>
      <c r="L17" s="2"/>
      <c r="M17" s="1"/>
    </row>
    <row r="18" spans="1:13" ht="15.75" x14ac:dyDescent="0.25">
      <c r="A18" s="1"/>
      <c r="B18" s="11" t="s">
        <v>5</v>
      </c>
      <c r="C18" s="5">
        <f>$C$8*(1+$C$9)^5+$C$10*(1+$C$12)^4+$C$10*(1+$C$12)^3*(1+$C$9)^1+$C$10*(1+$C$12)^2*(1+$C$9)^2+$C$10*(1+$C$12)^1*(1+$C$9)^3+$C$10*(1+$C$12)^0*(1+$C$9)^4</f>
        <v>550106.68399999978</v>
      </c>
      <c r="D18" s="5">
        <f>C18/(1+$C$12)^5</f>
        <v>498248.57239216944</v>
      </c>
      <c r="E18" s="5">
        <f t="shared" ref="E18:F25" si="0">C18*$C$11</f>
        <v>275053.34199999989</v>
      </c>
      <c r="F18" s="5">
        <f t="shared" si="0"/>
        <v>249124.28619608472</v>
      </c>
      <c r="G18" s="12">
        <f>E18*(1-$C$14)</f>
        <v>247548.0077999999</v>
      </c>
      <c r="H18" s="12">
        <f>C13*5</f>
        <v>150000</v>
      </c>
      <c r="I18" s="12" t="str">
        <f>IF(G18&gt;H18,"Free","Not Free")</f>
        <v>Free</v>
      </c>
      <c r="L18" s="1"/>
      <c r="M18" s="1"/>
    </row>
    <row r="19" spans="1:13" ht="15.75" x14ac:dyDescent="0.25">
      <c r="A19" s="1"/>
      <c r="B19" s="8" t="s">
        <v>6</v>
      </c>
      <c r="C19" s="6">
        <f>C18*(1+$C$9)^5+$C$10*(1+$C$12)^9+$C$10*(1+$C$12)^8*(1+$C$9)^1+$C$10*(1+$C$12)^7*(1+$C$9)^2+$C$10*(1+$C$12)^6*(1+$C$9)^3+$C$10*(1+$C$12)^5*(1+$C$9)^4</f>
        <v>3269067.424722448</v>
      </c>
      <c r="D19" s="6">
        <f>C19/(1+$C$12)^10</f>
        <v>2681773.9040483125</v>
      </c>
      <c r="E19" s="6">
        <f t="shared" si="0"/>
        <v>1634533.712361224</v>
      </c>
      <c r="F19" s="6">
        <f t="shared" si="0"/>
        <v>1340886.9520241562</v>
      </c>
      <c r="G19" s="13">
        <f>E19*(1-$C$14)</f>
        <v>1471080.3411251015</v>
      </c>
      <c r="H19" s="13">
        <f>C13*10</f>
        <v>300000</v>
      </c>
      <c r="I19" s="12" t="str">
        <f t="shared" ref="I19:I24" si="1">IF(G19&gt;H19,"Free","Not Free")</f>
        <v>Free</v>
      </c>
      <c r="L19" s="1"/>
      <c r="M19" s="1"/>
    </row>
    <row r="20" spans="1:13" ht="15.75" x14ac:dyDescent="0.25">
      <c r="A20" s="1"/>
      <c r="B20" s="11" t="s">
        <v>7</v>
      </c>
      <c r="C20" s="5">
        <f>C19*(1+$C$9)^5+$C$10*(1+$C$12)^14+$C$10*(1+$C$12)^13*(1+$C$9)^1+$C$10*(1+$C$12)^12*(1+$C$9)^2+$C$10*(1+$C$12)^11*(1+$C$9)^3+$C$10*(1+$C$12)^10*(1+$C$9)^4</f>
        <v>17924603.937067442</v>
      </c>
      <c r="D20" s="5">
        <f>C20/(1+$C$12)^15</f>
        <v>13318244.754451316</v>
      </c>
      <c r="E20" s="5">
        <f t="shared" si="0"/>
        <v>8962301.9685337208</v>
      </c>
      <c r="F20" s="5">
        <f t="shared" si="0"/>
        <v>6659122.3772256579</v>
      </c>
      <c r="G20" s="12">
        <f>E20*(1-$C$14)</f>
        <v>8066071.7716803486</v>
      </c>
      <c r="H20" s="12">
        <f>C13*20</f>
        <v>600000</v>
      </c>
      <c r="I20" s="12" t="str">
        <f t="shared" si="1"/>
        <v>Free</v>
      </c>
      <c r="J20" s="1"/>
      <c r="K20" s="1"/>
      <c r="L20" s="1"/>
      <c r="M20" s="1"/>
    </row>
    <row r="21" spans="1:13" ht="15.75" x14ac:dyDescent="0.25">
      <c r="A21" s="1"/>
      <c r="B21" s="8" t="s">
        <v>8</v>
      </c>
      <c r="C21" s="6">
        <f>C20*(1+$C$9)^5+$C$10*(1+$C$12)^19+$C$10*(1+$C$12)^18*(1+$C$9)^1+$C$10*(1+$C$12)^17*(1+$C$9)^2+$C$10*(1+$C$12)^16*(1+$C$9)^3+$C$10*(1+$C$12)^15*(1+$C$9)^4</f>
        <v>96781272.90059422</v>
      </c>
      <c r="D21" s="6">
        <f>C21/(1+$C$12)^20</f>
        <v>65131022.243807636</v>
      </c>
      <c r="E21" s="6">
        <f t="shared" si="0"/>
        <v>48390636.45029711</v>
      </c>
      <c r="F21" s="6">
        <f t="shared" si="0"/>
        <v>32565511.121903818</v>
      </c>
      <c r="G21" s="13">
        <f>E21*(1-$C$14)</f>
        <v>43551572.805267401</v>
      </c>
      <c r="H21" s="13">
        <f>C13*20</f>
        <v>600000</v>
      </c>
      <c r="I21" s="12" t="str">
        <f t="shared" si="1"/>
        <v>Free</v>
      </c>
      <c r="J21" s="1"/>
      <c r="K21" s="1"/>
      <c r="L21" s="1"/>
      <c r="M21" s="1"/>
    </row>
    <row r="22" spans="1:13" ht="15.75" x14ac:dyDescent="0.25">
      <c r="A22" s="1"/>
      <c r="B22" s="11" t="s">
        <v>15</v>
      </c>
      <c r="C22" s="5">
        <f>C21*(1+$C$9)^5+$C$10*(1+$C$12)^24+$C$10*(1+$C$12)^23*(1+$C$9)^1+$C$10*(1+$C$12)^22*(1+$C$9)^2+$C$10*(1+$C$12)^21*(1+$C$9)^3+$C$10*(1+$C$12)^20*(1+$C$9)^4</f>
        <v>520930753.67334443</v>
      </c>
      <c r="D22" s="5">
        <f>C22/(1+$C$12)^25</f>
        <v>317523375.77146626</v>
      </c>
      <c r="E22" s="5">
        <f t="shared" si="0"/>
        <v>260465376.83667222</v>
      </c>
      <c r="F22" s="5">
        <f t="shared" si="0"/>
        <v>158761687.88573313</v>
      </c>
      <c r="G22" s="12">
        <f>E22*(1-$C$14)</f>
        <v>234418839.153005</v>
      </c>
      <c r="H22" s="12">
        <f>C13*25</f>
        <v>750000</v>
      </c>
      <c r="I22" s="12" t="str">
        <f t="shared" si="1"/>
        <v>Free</v>
      </c>
      <c r="J22" s="1"/>
      <c r="K22" s="1"/>
      <c r="L22" s="1"/>
      <c r="M22" s="1"/>
    </row>
    <row r="23" spans="1:13" ht="15.75" x14ac:dyDescent="0.25">
      <c r="A23" s="1"/>
      <c r="B23" s="8" t="s">
        <v>9</v>
      </c>
      <c r="C23" s="6">
        <f>C22*(1+$C$9)^5+$C$10*(1+$C$12)^29+$C$10*(1+$C$12)^28*(1+$C$9)^1+$C$10*(1+$C$12)^27*(1+$C$9)^2+$C$10*(1+$C$12)^26*(1+$C$9)^3+$C$10*(1+$C$12)^25*(1+$C$9)^4</f>
        <v>2802151946.3203092</v>
      </c>
      <c r="D23" s="6">
        <f>C23/(1+$C$12)^30</f>
        <v>1546986516.0618439</v>
      </c>
      <c r="E23" s="6">
        <f t="shared" si="0"/>
        <v>1401075973.1601546</v>
      </c>
      <c r="F23" s="6">
        <f t="shared" si="0"/>
        <v>773493258.03092194</v>
      </c>
      <c r="G23" s="13">
        <f>E23*(1-$C$14)</f>
        <v>1260968375.8441391</v>
      </c>
      <c r="H23" s="13">
        <f>C13*30</f>
        <v>900000</v>
      </c>
      <c r="I23" s="12" t="str">
        <f t="shared" si="1"/>
        <v>Free</v>
      </c>
      <c r="J23" s="1"/>
      <c r="K23" s="1"/>
      <c r="L23" s="1"/>
      <c r="M23" s="1"/>
    </row>
    <row r="24" spans="1:13" ht="15.75" x14ac:dyDescent="0.25">
      <c r="B24" s="11" t="s">
        <v>16</v>
      </c>
      <c r="C24" s="5">
        <f>C23*(1+$C$9)^5+$C$10*(1+$C$12)^34+$C$10*(1+$C$12)^33*(1+$C$9)^1+$C$10*(1+$C$12)^32*(1+$C$9)^2+$C$10*(1+$C$12)^31*(1+$C$9)^3+$C$10*(1+$C$12)^30*(1+$C$9)^4</f>
        <v>15071155029.025988</v>
      </c>
      <c r="D24" s="5">
        <f>C24/(1+$C$12)^35</f>
        <v>7535993679.7318363</v>
      </c>
      <c r="E24" s="5">
        <f t="shared" si="0"/>
        <v>7535577514.5129938</v>
      </c>
      <c r="F24" s="5">
        <f t="shared" si="0"/>
        <v>3767996839.8659182</v>
      </c>
      <c r="G24" s="12">
        <f>E24*(1-$C$14)</f>
        <v>6782019763.0616941</v>
      </c>
      <c r="H24" s="12">
        <f>C13*35</f>
        <v>1050000</v>
      </c>
      <c r="I24" s="12" t="str">
        <f t="shared" si="1"/>
        <v>Free</v>
      </c>
    </row>
    <row r="25" spans="1:13" ht="16.5" thickBot="1" x14ac:dyDescent="0.3">
      <c r="B25" s="7" t="s">
        <v>10</v>
      </c>
      <c r="C25" s="14">
        <f>C24*(1+$C$9)^5+$C$10*(1+$C$12)^39+$C$10*(1+$C$12)^38*(1+$C$9)^1+$C$10*(1+$C$12)^37*(1+$C$9)^2+$C$10*(1+$C$12)^36*(1+$C$9)^3+$C$10*(1+$C$12)^35*(1+$C$9)^4</f>
        <v>81056851181.619492</v>
      </c>
      <c r="D25" s="14">
        <f>C25/(1+$C$12)^40</f>
        <v>36709870985.251572</v>
      </c>
      <c r="E25" s="14">
        <f t="shared" si="0"/>
        <v>40528425590.809746</v>
      </c>
      <c r="F25" s="14">
        <f t="shared" si="0"/>
        <v>18354935492.625786</v>
      </c>
      <c r="G25" s="15">
        <f>E25*(1-$C$14)</f>
        <v>36475583031.728775</v>
      </c>
      <c r="H25" s="15">
        <f>C13*40</f>
        <v>1200000</v>
      </c>
      <c r="I25" s="15" t="str">
        <f>IF(G25&gt;H25,"Free","Not Free")</f>
        <v>Free</v>
      </c>
    </row>
    <row r="26" spans="1:13" ht="15.6" customHeight="1" x14ac:dyDescent="0.25">
      <c r="B26" s="1"/>
      <c r="C26" s="1"/>
      <c r="D26" s="1"/>
      <c r="E26" s="2"/>
      <c r="F26" s="2"/>
      <c r="G26" s="2"/>
      <c r="H26" s="2"/>
    </row>
    <row r="27" spans="1:13" ht="14.45" customHeight="1" x14ac:dyDescent="0.25">
      <c r="B27" s="23"/>
      <c r="C27" s="23"/>
      <c r="D27" s="23"/>
      <c r="E27" s="23"/>
      <c r="F27" s="23"/>
      <c r="G27" s="23"/>
      <c r="H27" s="23"/>
      <c r="I27" s="23"/>
    </row>
    <row r="34" spans="2:8" ht="15.75" x14ac:dyDescent="0.25">
      <c r="B34" s="1"/>
      <c r="C34" s="1"/>
      <c r="D34" s="1"/>
      <c r="E34" s="1"/>
      <c r="F34" s="1"/>
      <c r="G34" s="1"/>
      <c r="H34" s="1"/>
    </row>
  </sheetData>
  <sheetProtection algorithmName="SHA-512" hashValue="otHLzaBS8PurM13Yet/SvJaw3ibDgiY8FGUQrRaXtT9pJsK0nqlGr6QoBTFowxStfbEWEOdaNSz4SQJ037FZkw==" saltValue="u4Sd+usY2LLypJ2gTAPLBw==" spinCount="100000" sheet="1" objects="1" scenarios="1"/>
  <mergeCells count="3">
    <mergeCell ref="B27:I27"/>
    <mergeCell ref="B1:D3"/>
    <mergeCell ref="B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Target Wealth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Schwartzer</dc:creator>
  <cp:lastModifiedBy>cristiano di marco</cp:lastModifiedBy>
  <dcterms:created xsi:type="dcterms:W3CDTF">2016-10-30T18:32:22Z</dcterms:created>
  <dcterms:modified xsi:type="dcterms:W3CDTF">2022-10-30T21:48:07Z</dcterms:modified>
</cp:coreProperties>
</file>